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Assumptions" sheetId="2" state="visible" r:id="rId4"/>
    <sheet name="Year 1 Monthly" sheetId="3" state="visible" r:id="rId5"/>
    <sheet name="Three Year" sheetId="4" state="visible" r:id="rId6"/>
    <sheet name="Break-Eve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The Biz Foundry</author>
  </authors>
  <commentList>
    <comment ref="B7" authorId="0">
      <text>
        <r>
          <rPr>
            <sz val="10"/>
            <rFont val="Arial"/>
            <family val="2"/>
          </rPr>
          <t xml:space="preserve">Six days a week with a week off is about 305. Five days a week is about 250.</t>
        </r>
      </text>
    </comment>
    <comment ref="B10" authorId="0">
      <text>
        <r>
          <rPr>
            <sz val="10"/>
            <rFont val="Arial"/>
            <family val="2"/>
          </rPr>
          <t xml:space="preserve">Be conservative. This single number drives the whole model, and it is the one a lender will press you on. Count real foot traffic if you can.</t>
        </r>
      </text>
    </comment>
    <comment ref="B13" authorId="0">
      <text>
        <r>
          <rPr>
            <sz val="10"/>
            <rFont val="Arial"/>
            <family val="2"/>
          </rPr>
          <t xml:space="preserve">What a typical customer spends in one visit, including tax-exclusive extras.</t>
        </r>
      </text>
    </comment>
    <comment ref="B16" authorId="0">
      <text>
        <r>
          <rPr>
            <sz val="10"/>
            <rFont val="Arial"/>
            <family val="2"/>
          </rPr>
          <t xml:space="preserve">Wholesale, contracts, online sales — anything that is not a walk-in sale.</t>
        </r>
      </text>
    </comment>
    <comment ref="B19" authorId="0">
      <text>
        <r>
          <rPr>
            <sz val="10"/>
            <rFont val="Arial"/>
            <family val="2"/>
          </rPr>
          <t xml:space="preserve">Materials and ingredients only — not labour, not rent. Retail is often 50-60%; food is often 28-35%; services can be under 15%.</t>
        </r>
      </text>
    </comment>
    <comment ref="B24" authorId="0">
      <text>
        <r>
          <rPr>
            <sz val="10"/>
            <rFont val="Arial"/>
            <family val="2"/>
          </rPr>
          <t xml:space="preserve">Pay yourself in the model even if you plan not to at first. A business that only works because the owner is unpaid is not yet working.</t>
        </r>
      </text>
    </comment>
    <comment ref="B26" authorId="0">
      <text>
        <r>
          <rPr>
            <sz val="10"/>
            <rFont val="Arial"/>
            <family val="2"/>
          </rPr>
          <t xml:space="preserve">Employer FICA, unemployment and workers' comp. About 11% on top of wages.</t>
        </r>
      </text>
    </comment>
    <comment ref="B42" authorId="0">
      <text>
        <r>
          <rPr>
            <sz val="10"/>
            <rFont val="Arial"/>
            <family val="2"/>
          </rPr>
          <t xml:space="preserve">What is in the bank the day you open, after paying for equipment and fit-out. This is what has to carry you through the first months.</t>
        </r>
      </text>
    </comment>
    <comment ref="B43" authorId="0">
      <text>
        <r>
          <rPr>
            <sz val="10"/>
            <rFont val="Arial"/>
            <family val="2"/>
          </rPr>
          <t xml:space="preserve">Roughly what you spent on equipment divided by 7. Not a cash cost — it affects profit, not the bank balance.</t>
        </r>
      </text>
    </comment>
    <comment ref="B46" authorId="0">
      <text>
        <r>
          <rPr>
            <sz val="10"/>
            <rFont val="Arial"/>
            <family val="2"/>
          </rPr>
          <t xml:space="preserve">Nobody opens at full volume. 70% means month one runs at 70% of your year-one average, building to the figure below by month twelve.</t>
        </r>
      </text>
    </comment>
  </commentList>
</comments>
</file>

<file path=xl/sharedStrings.xml><?xml version="1.0" encoding="utf-8"?>
<sst xmlns="http://schemas.openxmlformats.org/spreadsheetml/2006/main" count="161" uniqueCount="140">
  <si>
    <t xml:space="preserve">Basic Financial Projections</t>
  </si>
  <si>
    <t xml:space="preserve">A fill-in template from The Biz Foundry · thebizfoundry.org</t>
  </si>
  <si>
    <t xml:space="preserve">What this is</t>
  </si>
  <si>
    <t xml:space="preserve">A three-year financial projection for a small business, built so the numbers calculate themselves. Fill in the Assumptions sheet and everything else follows.</t>
  </si>
  <si>
    <t xml:space="preserve">Where to start</t>
  </si>
  <si>
    <t xml:space="preserve">Go to the Assumptions tab. Change only the yellow cells. Every other number on every other sheet is a formula that updates on its own.</t>
  </si>
  <si>
    <t xml:space="preserve">The order</t>
  </si>
  <si>
    <t xml:space="preserve">1. Assumptions  →  2. Year 1 Monthly  →  3. Three Year  →  4. Break-Even.</t>
  </si>
  <si>
    <t xml:space="preserve">The one that matters</t>
  </si>
  <si>
    <t xml:space="preserve">Break-Even. It tells you how many sales a day you need before you make a penny. If that number looks unreachable, the plan needs changing, not the spreadsheet.</t>
  </si>
  <si>
    <t xml:space="preserve">Be conservative</t>
  </si>
  <si>
    <t xml:space="preserve">The commonest way a projection loses a lender's trust is optimism. Assume fewer customers than you hope for. A plan that works on modest numbers is far more persuasive than one that needs everything to go right.</t>
  </si>
  <si>
    <t xml:space="preserve">A first year loss is normal</t>
  </si>
  <si>
    <t xml:space="preserve">Most businesses lose money in year one. Showing that — and showing you have the cash to survive it — is more credible than a profit in month two.</t>
  </si>
  <si>
    <t xml:space="preserve">Want to see one finished?</t>
  </si>
  <si>
    <t xml:space="preserve">The Sourwood Bakery example on our resources page is a complete worked plan using exactly this structure.</t>
  </si>
  <si>
    <t xml:space="preserve">Stuck?</t>
  </si>
  <si>
    <t xml:space="preserve">Coaching is free and there is no pitch at the end. Book at thebizfoundry.org, or the TSBDC will read your projections with you at no cost.</t>
  </si>
  <si>
    <t xml:space="preserve">How to use this</t>
  </si>
  <si>
    <t xml:space="preserve">Yellow cells</t>
  </si>
  <si>
    <t xml:space="preserve">Fill these in. They are the only cells you should change.</t>
  </si>
  <si>
    <t xml:space="preserve">White cells</t>
  </si>
  <si>
    <t xml:space="preserve">Formulas. They update themselves — do not type over them.</t>
  </si>
  <si>
    <t xml:space="preserve">Green text</t>
  </si>
  <si>
    <t xml:space="preserve">A number pulled from the Assumptions sheet.</t>
  </si>
  <si>
    <t xml:space="preserve">Assumptions</t>
  </si>
  <si>
    <t xml:space="preserve">Change the yellow cells. Everything else follows from these.</t>
  </si>
  <si>
    <t xml:space="preserve">Value</t>
  </si>
  <si>
    <t xml:space="preserve">Notes</t>
  </si>
  <si>
    <t xml:space="preserve">THE BUSINESS</t>
  </si>
  <si>
    <t xml:space="preserve">Business name</t>
  </si>
  <si>
    <t xml:space="preserve">Your business</t>
  </si>
  <si>
    <t xml:space="preserve">Appears nowhere else — just for your own copy.</t>
  </si>
  <si>
    <t xml:space="preserve">Days open per year</t>
  </si>
  <si>
    <t xml:space="preserve">Six days a week, closed a week a year = 305.</t>
  </si>
  <si>
    <t xml:space="preserve">WHAT YOU SELL</t>
  </si>
  <si>
    <t xml:space="preserve">Customers per day — year 1</t>
  </si>
  <si>
    <t xml:space="preserve">The most important number in the file.</t>
  </si>
  <si>
    <t xml:space="preserve">Customers per day — year 2</t>
  </si>
  <si>
    <t xml:space="preserve">Customers per day — year 3</t>
  </si>
  <si>
    <t xml:space="preserve">Average sale — year 1</t>
  </si>
  <si>
    <t xml:space="preserve">Average sale — year 2</t>
  </si>
  <si>
    <t xml:space="preserve">Average sale — year 3</t>
  </si>
  <si>
    <t xml:space="preserve">Other income per month</t>
  </si>
  <si>
    <t xml:space="preserve">Leave at zero if you only sell over the counter.</t>
  </si>
  <si>
    <t xml:space="preserve">WHAT IT COSTS TO MAKE</t>
  </si>
  <si>
    <t xml:space="preserve">Cost of goods, % of sales</t>
  </si>
  <si>
    <t xml:space="preserve">Typed as a percentage, e.g. 30%.</t>
  </si>
  <si>
    <t xml:space="preserve">Card processing, % of sales</t>
  </si>
  <si>
    <t xml:space="preserve">Supplies and packaging, % of sales</t>
  </si>
  <si>
    <t xml:space="preserve">PEOPLE</t>
  </si>
  <si>
    <t xml:space="preserve">Your own pay, per year</t>
  </si>
  <si>
    <t xml:space="preserve">Everyone else's wages, per year</t>
  </si>
  <si>
    <t xml:space="preserve">Payroll taxes and insurance, %</t>
  </si>
  <si>
    <t xml:space="preserve">FIXED COSTS</t>
  </si>
  <si>
    <t xml:space="preserve">Rent and CAM, per month</t>
  </si>
  <si>
    <t xml:space="preserve">Utilities, per month</t>
  </si>
  <si>
    <t xml:space="preserve">Insurance, per year</t>
  </si>
  <si>
    <t xml:space="preserve">Marketing, per year</t>
  </si>
  <si>
    <t xml:space="preserve">Accounting and legal, per year</t>
  </si>
  <si>
    <t xml:space="preserve">Everything else, per month</t>
  </si>
  <si>
    <t xml:space="preserve">Total fixed costs per year</t>
  </si>
  <si>
    <t xml:space="preserve">Calculated — rent and utilities are monthly, the rest annual.</t>
  </si>
  <si>
    <t xml:space="preserve">MONEY BORROWED</t>
  </si>
  <si>
    <t xml:space="preserve">Loan amount</t>
  </si>
  <si>
    <t xml:space="preserve">Interest rate</t>
  </si>
  <si>
    <t xml:space="preserve">Years to repay</t>
  </si>
  <si>
    <t xml:space="preserve">Loan payment per month</t>
  </si>
  <si>
    <t xml:space="preserve">Calculated from the three cells above.</t>
  </si>
  <si>
    <t xml:space="preserve">Cash you start with</t>
  </si>
  <si>
    <t xml:space="preserve">Equipment depreciation, per year</t>
  </si>
  <si>
    <t xml:space="preserve">YEAR ONE RAMP</t>
  </si>
  <si>
    <t xml:space="preserve">Month 1 as % of steady state</t>
  </si>
  <si>
    <t xml:space="preserve">Month 12 as % of steady state</t>
  </si>
  <si>
    <t xml:space="preserve">The two ramp figures should average about 100%.</t>
  </si>
  <si>
    <t xml:space="preserve">THE NUMBERS IN THIS FILE ARE AN EXAMPLE, not a recommendation. They describe a small retail business turning a modest profit, so that you can see the sheets working before you replace them. Every one should be changed to yours — get them from real quotes, a real lease, and your own count of real customers.</t>
  </si>
  <si>
    <t xml:space="preserve">Year one, month by month</t>
  </si>
  <si>
    <t xml:space="preserve">This is the sheet a lender turns to first. Watch the cash column.</t>
  </si>
  <si>
    <t xml:space="preserve">Month 1</t>
  </si>
  <si>
    <t xml:space="preserve">Month 2</t>
  </si>
  <si>
    <t xml:space="preserve">Month 3</t>
  </si>
  <si>
    <t xml:space="preserve">Month 4</t>
  </si>
  <si>
    <t xml:space="preserve">Month 5</t>
  </si>
  <si>
    <t xml:space="preserve">Month 6</t>
  </si>
  <si>
    <t xml:space="preserve">Month 7</t>
  </si>
  <si>
    <t xml:space="preserve">Month 8</t>
  </si>
  <si>
    <t xml:space="preserve">Month 9</t>
  </si>
  <si>
    <t xml:space="preserve">Month 10</t>
  </si>
  <si>
    <t xml:space="preserve">Month 11</t>
  </si>
  <si>
    <t xml:space="preserve">Month 12</t>
  </si>
  <si>
    <t xml:space="preserve">Year 1 total</t>
  </si>
  <si>
    <t xml:space="preserve">Customers per day</t>
  </si>
  <si>
    <t xml:space="preserve">Sales</t>
  </si>
  <si>
    <t xml:space="preserve">Other income</t>
  </si>
  <si>
    <t xml:space="preserve">Total revenue</t>
  </si>
  <si>
    <t xml:space="preserve">Cost of goods</t>
  </si>
  <si>
    <t xml:space="preserve">Card and packaging</t>
  </si>
  <si>
    <t xml:space="preserve">Wages incl. taxes</t>
  </si>
  <si>
    <t xml:space="preserve">Fixed costs</t>
  </si>
  <si>
    <t xml:space="preserve">Loan payment</t>
  </si>
  <si>
    <t xml:space="preserve">Cash in less cash out</t>
  </si>
  <si>
    <t xml:space="preserve">Cash in the bank</t>
  </si>
  <si>
    <t xml:space="preserve">Lowest the bank balance gets</t>
  </si>
  <si>
    <t xml:space="preserve">If this is negative, you run out of money before the year is out. Raise the opening cash, cut costs, or arrange a line of credit BEFORE you open.</t>
  </si>
  <si>
    <t xml:space="preserve">Three-year projection</t>
  </si>
  <si>
    <t xml:space="preserve">Years two and three assume the customer counts on the Assumptions sheet.</t>
  </si>
  <si>
    <t xml:space="preserve">Year 1</t>
  </si>
  <si>
    <t xml:space="preserve">Year 2</t>
  </si>
  <si>
    <t xml:space="preserve">Year 3</t>
  </si>
  <si>
    <t xml:space="preserve">Revenue</t>
  </si>
  <si>
    <t xml:space="preserve">Gross profit</t>
  </si>
  <si>
    <t xml:space="preserve">Raise these on the Assumptions sheet as you hire.</t>
  </si>
  <si>
    <t xml:space="preserve">Depreciation</t>
  </si>
  <si>
    <t xml:space="preserve">Not cash. Affects profit, not the bank balance.</t>
  </si>
  <si>
    <t xml:space="preserve">Loan interest</t>
  </si>
  <si>
    <t xml:space="preserve">Approximate — interest falls as the loan is repaid.</t>
  </si>
  <si>
    <t xml:space="preserve">Profit before tax</t>
  </si>
  <si>
    <t xml:space="preserve">Profit margin</t>
  </si>
  <si>
    <t xml:space="preserve">3-10% is typical for a small business. Above 20%, check your costs.</t>
  </si>
  <si>
    <t xml:space="preserve">Wages, % of sales</t>
  </si>
  <si>
    <t xml:space="preserve">Usually the biggest cost you can actually control.</t>
  </si>
  <si>
    <t xml:space="preserve">Rent, % of sales</t>
  </si>
  <si>
    <t xml:space="preserve">Over about 10% and the rent is eating the business.</t>
  </si>
  <si>
    <t xml:space="preserve">Break-even</t>
  </si>
  <si>
    <t xml:space="preserve">How much you must sell before you make a penny. The number to know by heart.</t>
  </si>
  <si>
    <t xml:space="preserve">What it means</t>
  </si>
  <si>
    <t xml:space="preserve">Money left from each $1 of sales</t>
  </si>
  <si>
    <t xml:space="preserve">After the costs that rise with every sale.</t>
  </si>
  <si>
    <t xml:space="preserve">Costs you pay whatever happens, per year</t>
  </si>
  <si>
    <t xml:space="preserve">Wages, rent, insurance, loan payments.</t>
  </si>
  <si>
    <t xml:space="preserve">Sales needed to break even, per year</t>
  </si>
  <si>
    <t xml:space="preserve">Customers a day to break even</t>
  </si>
  <si>
    <t xml:space="preserve">You are planning for</t>
  </si>
  <si>
    <t xml:space="preserve">Year one customers per day, from Assumptions.</t>
  </si>
  <si>
    <t xml:space="preserve">Margin for error</t>
  </si>
  <si>
    <t xml:space="preserve">How far above break-even you are planning. Under 20% is uncomfortably thin — a slow month puts you underwater.</t>
  </si>
  <si>
    <t xml:space="preserve">What to do with this</t>
  </si>
  <si>
    <t xml:space="preserve">•  If break-even needs more customers than you honestly expect, the plan needs to change — not the spreadsheet.</t>
  </si>
  <si>
    <t xml:space="preserve">•  Try it at 80% of your customer estimate. If that still works, you have a real business. If it does not, you know your risk before you sign a lease.</t>
  </si>
  <si>
    <t xml:space="preserve">•  Arrange a line of credit while you do not need one. It is far easier to get then.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</si>
</sst>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\$#,##0.00;&quot;($&quot;#,##0.00\);\-"/>
    <numFmt numFmtId="167" formatCode="\$#,##0;&quot;($&quot;#,##0\);\-"/>
    <numFmt numFmtId="168" formatCode="0.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2A39"/>
      <name val="Arial"/>
      <family val="0"/>
      <charset val="1"/>
    </font>
    <font>
      <sz val="10"/>
      <color rgb="FF6B7780"/>
      <name val="Arial"/>
      <family val="0"/>
      <charset val="1"/>
    </font>
    <font>
      <b val="true"/>
      <sz val="10"/>
      <color rgb="FF002A39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9"/>
      <color rgb="FF002A39"/>
      <name val="Arial"/>
      <family val="0"/>
      <charset val="1"/>
    </font>
    <font>
      <i val="true"/>
      <sz val="9"/>
      <color rgb="FF6B77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2A39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2"/>
    </font>
    <font>
      <sz val="10"/>
      <color rgb="FF008000"/>
      <name val="Arial"/>
      <family val="0"/>
      <charset val="1"/>
    </font>
    <font>
      <sz val="10"/>
      <color rgb="FF00000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7CC"/>
        <bgColor rgb="FFF4F6F8"/>
      </patternFill>
    </fill>
    <fill>
      <patternFill patternType="solid">
        <fgColor rgb="FF002A39"/>
        <bgColor rgb="FF003300"/>
      </patternFill>
    </fill>
    <fill>
      <patternFill patternType="solid">
        <fgColor rgb="FF01A2E0"/>
        <bgColor rgb="FF008080"/>
      </patternFill>
    </fill>
    <fill>
      <patternFill patternType="solid">
        <fgColor rgb="FFE8EDF0"/>
        <bgColor rgb="FFF4F6F8"/>
      </patternFill>
    </fill>
    <fill>
      <patternFill patternType="solid">
        <fgColor rgb="FFF4F6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EE2"/>
      </left>
      <right style="thin">
        <color rgb="FFD9DEE2"/>
      </right>
      <top style="thin">
        <color rgb="FFD9DEE2"/>
      </top>
      <bottom style="thin">
        <color rgb="FFD9DE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7780"/>
      <rgbColor rgb="FF9999FF"/>
      <rgbColor rgb="FF993366"/>
      <rgbColor rgb="FFFFF7CC"/>
      <rgbColor rgb="FFE8EDF0"/>
      <rgbColor rgb="FF660066"/>
      <rgbColor rgb="FFFF8080"/>
      <rgbColor rgb="FF0066CC"/>
      <rgbColor rgb="FFD9DE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1A2E0"/>
      <rgbColor rgb="FFF4F6F8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A39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A39"/>
    <pageSetUpPr fitToPage="false"/>
  </sheetPr>
  <dimension ref="A1:B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96"/>
  </cols>
  <sheetData>
    <row r="1" customFormat="false" ht="21.75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4" t="s">
        <v>3</v>
      </c>
    </row>
    <row r="5" customFormat="false" ht="30" hidden="false" customHeight="true" outlineLevel="0" collapsed="false">
      <c r="A5" s="3" t="s">
        <v>4</v>
      </c>
      <c r="B5" s="4" t="s">
        <v>5</v>
      </c>
    </row>
    <row r="6" customFormat="false" ht="30" hidden="false" customHeight="true" outlineLevel="0" collapsed="false">
      <c r="A6" s="3" t="s">
        <v>6</v>
      </c>
      <c r="B6" s="4" t="s">
        <v>7</v>
      </c>
    </row>
    <row r="7" customFormat="false" ht="30" hidden="false" customHeight="true" outlineLevel="0" collapsed="false">
      <c r="A7" s="3" t="s">
        <v>8</v>
      </c>
      <c r="B7" s="4" t="s">
        <v>9</v>
      </c>
    </row>
    <row r="8" customFormat="false" ht="30" hidden="false" customHeight="true" outlineLevel="0" collapsed="false">
      <c r="A8" s="3" t="s">
        <v>10</v>
      </c>
      <c r="B8" s="4" t="s">
        <v>11</v>
      </c>
    </row>
    <row r="9" customFormat="false" ht="30" hidden="false" customHeight="true" outlineLevel="0" collapsed="false">
      <c r="A9" s="3" t="s">
        <v>12</v>
      </c>
      <c r="B9" s="4" t="s">
        <v>13</v>
      </c>
    </row>
    <row r="10" customFormat="false" ht="30" hidden="false" customHeight="true" outlineLevel="0" collapsed="false">
      <c r="A10" s="3" t="s">
        <v>14</v>
      </c>
      <c r="B10" s="4" t="s">
        <v>15</v>
      </c>
    </row>
    <row r="11" customFormat="false" ht="30" hidden="false" customHeight="true" outlineLevel="0" collapsed="false">
      <c r="A11" s="3" t="s">
        <v>16</v>
      </c>
      <c r="B11" s="4" t="s">
        <v>17</v>
      </c>
    </row>
    <row r="13" customFormat="false" ht="15" hidden="false" customHeight="false" outlineLevel="0" collapsed="false">
      <c r="A13" s="5" t="s">
        <v>18</v>
      </c>
    </row>
    <row r="14" customFormat="false" ht="15" hidden="false" customHeight="false" outlineLevel="0" collapsed="false">
      <c r="A14" s="6" t="s">
        <v>19</v>
      </c>
      <c r="B14" s="7" t="s">
        <v>20</v>
      </c>
    </row>
    <row r="15" customFormat="false" ht="15" hidden="false" customHeight="false" outlineLevel="0" collapsed="false">
      <c r="A15" s="8" t="s">
        <v>21</v>
      </c>
      <c r="B15" s="7" t="s">
        <v>22</v>
      </c>
    </row>
    <row r="16" customFormat="false" ht="15" hidden="false" customHeight="false" outlineLevel="0" collapsed="false">
      <c r="A16" s="8" t="s">
        <v>23</v>
      </c>
      <c r="B16" s="7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A39"/>
    <pageSetUpPr fitToPage="false"/>
  </sheetPr>
  <dimension ref="A1:C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46"/>
  </cols>
  <sheetData>
    <row r="1" customFormat="false" ht="21.75" hidden="false" customHeight="true" outlineLevel="0" collapsed="false">
      <c r="A1" s="1" t="s">
        <v>25</v>
      </c>
    </row>
    <row r="2" customFormat="false" ht="15" hidden="false" customHeight="false" outlineLevel="0" collapsed="false">
      <c r="A2" s="2" t="s">
        <v>26</v>
      </c>
    </row>
    <row r="4" customFormat="false" ht="25.5" hidden="false" customHeight="true" outlineLevel="0" collapsed="false">
      <c r="A4" s="9"/>
      <c r="B4" s="10" t="s">
        <v>27</v>
      </c>
      <c r="C4" s="10" t="s">
        <v>28</v>
      </c>
    </row>
    <row r="5" customFormat="false" ht="15" hidden="false" customHeight="false" outlineLevel="0" collapsed="false">
      <c r="A5" s="11" t="s">
        <v>29</v>
      </c>
      <c r="B5" s="12"/>
      <c r="C5" s="12"/>
    </row>
    <row r="6" customFormat="false" ht="15" hidden="false" customHeight="false" outlineLevel="0" collapsed="false">
      <c r="A6" s="13" t="s">
        <v>30</v>
      </c>
      <c r="B6" s="14" t="s">
        <v>31</v>
      </c>
      <c r="C6" s="7" t="s">
        <v>32</v>
      </c>
    </row>
    <row r="7" customFormat="false" ht="15" hidden="false" customHeight="false" outlineLevel="0" collapsed="false">
      <c r="A7" s="13" t="s">
        <v>33</v>
      </c>
      <c r="B7" s="15" t="n">
        <v>305</v>
      </c>
      <c r="C7" s="7" t="s">
        <v>34</v>
      </c>
    </row>
    <row r="9" customFormat="false" ht="15" hidden="false" customHeight="false" outlineLevel="0" collapsed="false">
      <c r="A9" s="11" t="s">
        <v>35</v>
      </c>
      <c r="B9" s="12"/>
      <c r="C9" s="12"/>
    </row>
    <row r="10" customFormat="false" ht="15" hidden="false" customHeight="false" outlineLevel="0" collapsed="false">
      <c r="A10" s="13" t="s">
        <v>36</v>
      </c>
      <c r="B10" s="15" t="n">
        <v>70</v>
      </c>
      <c r="C10" s="7" t="s">
        <v>37</v>
      </c>
    </row>
    <row r="11" customFormat="false" ht="15" hidden="false" customHeight="false" outlineLevel="0" collapsed="false">
      <c r="A11" s="13" t="s">
        <v>38</v>
      </c>
      <c r="B11" s="15" t="n">
        <v>80</v>
      </c>
    </row>
    <row r="12" customFormat="false" ht="15" hidden="false" customHeight="false" outlineLevel="0" collapsed="false">
      <c r="A12" s="13" t="s">
        <v>39</v>
      </c>
      <c r="B12" s="15" t="n">
        <v>86</v>
      </c>
    </row>
    <row r="13" customFormat="false" ht="15" hidden="false" customHeight="false" outlineLevel="0" collapsed="false">
      <c r="A13" s="13" t="s">
        <v>40</v>
      </c>
      <c r="B13" s="16" t="n">
        <v>12</v>
      </c>
    </row>
    <row r="14" customFormat="false" ht="15" hidden="false" customHeight="false" outlineLevel="0" collapsed="false">
      <c r="A14" s="13" t="s">
        <v>41</v>
      </c>
      <c r="B14" s="16" t="n">
        <v>12.5</v>
      </c>
    </row>
    <row r="15" customFormat="false" ht="15" hidden="false" customHeight="false" outlineLevel="0" collapsed="false">
      <c r="A15" s="13" t="s">
        <v>42</v>
      </c>
      <c r="B15" s="16" t="n">
        <v>13</v>
      </c>
    </row>
    <row r="16" customFormat="false" ht="15" hidden="false" customHeight="false" outlineLevel="0" collapsed="false">
      <c r="A16" s="13" t="s">
        <v>43</v>
      </c>
      <c r="B16" s="17" t="n">
        <v>0</v>
      </c>
      <c r="C16" s="7" t="s">
        <v>44</v>
      </c>
    </row>
    <row r="18" customFormat="false" ht="15" hidden="false" customHeight="false" outlineLevel="0" collapsed="false">
      <c r="A18" s="11" t="s">
        <v>45</v>
      </c>
      <c r="B18" s="12"/>
      <c r="C18" s="12"/>
    </row>
    <row r="19" customFormat="false" ht="15" hidden="false" customHeight="false" outlineLevel="0" collapsed="false">
      <c r="A19" s="13" t="s">
        <v>46</v>
      </c>
      <c r="B19" s="18" t="n">
        <v>0.3</v>
      </c>
      <c r="C19" s="7" t="s">
        <v>47</v>
      </c>
    </row>
    <row r="20" customFormat="false" ht="15" hidden="false" customHeight="false" outlineLevel="0" collapsed="false">
      <c r="A20" s="13" t="s">
        <v>48</v>
      </c>
      <c r="B20" s="18" t="n">
        <v>0.029</v>
      </c>
    </row>
    <row r="21" customFormat="false" ht="15" hidden="false" customHeight="false" outlineLevel="0" collapsed="false">
      <c r="A21" s="13" t="s">
        <v>49</v>
      </c>
      <c r="B21" s="18" t="n">
        <v>0.02</v>
      </c>
    </row>
    <row r="23" customFormat="false" ht="15" hidden="false" customHeight="false" outlineLevel="0" collapsed="false">
      <c r="A23" s="11" t="s">
        <v>50</v>
      </c>
      <c r="B23" s="12"/>
      <c r="C23" s="12"/>
    </row>
    <row r="24" customFormat="false" ht="15" hidden="false" customHeight="false" outlineLevel="0" collapsed="false">
      <c r="A24" s="13" t="s">
        <v>51</v>
      </c>
      <c r="B24" s="17" t="n">
        <v>30000</v>
      </c>
    </row>
    <row r="25" customFormat="false" ht="15" hidden="false" customHeight="false" outlineLevel="0" collapsed="false">
      <c r="A25" s="13" t="s">
        <v>52</v>
      </c>
      <c r="B25" s="17" t="n">
        <v>45000</v>
      </c>
    </row>
    <row r="26" customFormat="false" ht="15" hidden="false" customHeight="false" outlineLevel="0" collapsed="false">
      <c r="A26" s="13" t="s">
        <v>53</v>
      </c>
      <c r="B26" s="18" t="n">
        <v>0.11</v>
      </c>
    </row>
    <row r="28" customFormat="false" ht="15" hidden="false" customHeight="false" outlineLevel="0" collapsed="false">
      <c r="A28" s="11" t="s">
        <v>54</v>
      </c>
      <c r="B28" s="12"/>
      <c r="C28" s="12"/>
    </row>
    <row r="29" customFormat="false" ht="15" hidden="false" customHeight="false" outlineLevel="0" collapsed="false">
      <c r="A29" s="13" t="s">
        <v>55</v>
      </c>
      <c r="B29" s="17" t="n">
        <v>2000</v>
      </c>
    </row>
    <row r="30" customFormat="false" ht="15" hidden="false" customHeight="false" outlineLevel="0" collapsed="false">
      <c r="A30" s="13" t="s">
        <v>56</v>
      </c>
      <c r="B30" s="17" t="n">
        <v>600</v>
      </c>
    </row>
    <row r="31" customFormat="false" ht="15" hidden="false" customHeight="false" outlineLevel="0" collapsed="false">
      <c r="A31" s="13" t="s">
        <v>57</v>
      </c>
      <c r="B31" s="17" t="n">
        <v>3600</v>
      </c>
    </row>
    <row r="32" customFormat="false" ht="15" hidden="false" customHeight="false" outlineLevel="0" collapsed="false">
      <c r="A32" s="13" t="s">
        <v>58</v>
      </c>
      <c r="B32" s="17" t="n">
        <v>4800</v>
      </c>
    </row>
    <row r="33" customFormat="false" ht="15" hidden="false" customHeight="false" outlineLevel="0" collapsed="false">
      <c r="A33" s="13" t="s">
        <v>59</v>
      </c>
      <c r="B33" s="17" t="n">
        <v>2400</v>
      </c>
    </row>
    <row r="34" customFormat="false" ht="15" hidden="false" customHeight="false" outlineLevel="0" collapsed="false">
      <c r="A34" s="13" t="s">
        <v>60</v>
      </c>
      <c r="B34" s="17" t="n">
        <v>400</v>
      </c>
    </row>
    <row r="35" customFormat="false" ht="15" hidden="false" customHeight="false" outlineLevel="0" collapsed="false">
      <c r="A35" s="5" t="s">
        <v>61</v>
      </c>
      <c r="B35" s="19" t="n">
        <f aca="false">$B$29*12+$B$30*12+$B$31+$B$32+$B$33+$B$34*12</f>
        <v>46800</v>
      </c>
      <c r="C35" s="7" t="s">
        <v>62</v>
      </c>
    </row>
    <row r="37" customFormat="false" ht="15" hidden="false" customHeight="false" outlineLevel="0" collapsed="false">
      <c r="A37" s="11" t="s">
        <v>63</v>
      </c>
      <c r="B37" s="12"/>
      <c r="C37" s="12"/>
    </row>
    <row r="38" customFormat="false" ht="15" hidden="false" customHeight="false" outlineLevel="0" collapsed="false">
      <c r="A38" s="13" t="s">
        <v>64</v>
      </c>
      <c r="B38" s="17" t="n">
        <v>50000</v>
      </c>
    </row>
    <row r="39" customFormat="false" ht="15" hidden="false" customHeight="false" outlineLevel="0" collapsed="false">
      <c r="A39" s="13" t="s">
        <v>65</v>
      </c>
      <c r="B39" s="18" t="n">
        <v>0.09</v>
      </c>
    </row>
    <row r="40" customFormat="false" ht="15" hidden="false" customHeight="false" outlineLevel="0" collapsed="false">
      <c r="A40" s="13" t="s">
        <v>66</v>
      </c>
      <c r="B40" s="15" t="n">
        <v>7</v>
      </c>
    </row>
    <row r="41" customFormat="false" ht="15" hidden="false" customHeight="false" outlineLevel="0" collapsed="false">
      <c r="A41" s="5" t="s">
        <v>67</v>
      </c>
      <c r="B41" s="20" t="n">
        <f aca="false">IF(OR($B$38=0,$B$40=0),0,PMT($B$39/12,$B$40*12,-$B$38))</f>
        <v>804.453913001928</v>
      </c>
      <c r="C41" s="7" t="s">
        <v>68</v>
      </c>
    </row>
    <row r="42" customFormat="false" ht="15" hidden="false" customHeight="false" outlineLevel="0" collapsed="false">
      <c r="A42" s="13" t="s">
        <v>69</v>
      </c>
      <c r="B42" s="17" t="n">
        <v>20000</v>
      </c>
    </row>
    <row r="43" customFormat="false" ht="15" hidden="false" customHeight="false" outlineLevel="0" collapsed="false">
      <c r="A43" s="13" t="s">
        <v>70</v>
      </c>
      <c r="B43" s="17" t="n">
        <v>5000</v>
      </c>
    </row>
    <row r="45" customFormat="false" ht="15" hidden="false" customHeight="false" outlineLevel="0" collapsed="false">
      <c r="A45" s="11" t="s">
        <v>71</v>
      </c>
      <c r="B45" s="12"/>
      <c r="C45" s="12"/>
    </row>
    <row r="46" customFormat="false" ht="15" hidden="false" customHeight="false" outlineLevel="0" collapsed="false">
      <c r="A46" s="13" t="s">
        <v>72</v>
      </c>
      <c r="B46" s="18" t="n">
        <v>0.7</v>
      </c>
    </row>
    <row r="47" customFormat="false" ht="15" hidden="false" customHeight="false" outlineLevel="0" collapsed="false">
      <c r="A47" s="13" t="s">
        <v>73</v>
      </c>
      <c r="B47" s="18" t="n">
        <v>1.3</v>
      </c>
      <c r="C47" s="7" t="s">
        <v>74</v>
      </c>
    </row>
    <row r="49" customFormat="false" ht="43.5" hidden="false" customHeight="true" outlineLevel="0" collapsed="false">
      <c r="A49" s="21" t="s">
        <v>75</v>
      </c>
      <c r="B49" s="21"/>
      <c r="C49" s="21"/>
    </row>
  </sheetData>
  <mergeCells count="1">
    <mergeCell ref="A49:C4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A39"/>
    <pageSetUpPr fitToPage="false"/>
  </sheetPr>
  <dimension ref="A1:N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13" min="2" style="0" width="13"/>
    <col collapsed="false" customWidth="true" hidden="false" outlineLevel="0" max="14" min="14" style="0" width="15"/>
  </cols>
  <sheetData>
    <row r="1" customFormat="false" ht="21.75" hidden="false" customHeight="true" outlineLevel="0" collapsed="false">
      <c r="A1" s="1" t="s">
        <v>76</v>
      </c>
    </row>
    <row r="2" customFormat="false" ht="15" hidden="false" customHeight="false" outlineLevel="0" collapsed="false">
      <c r="A2" s="2" t="s">
        <v>77</v>
      </c>
    </row>
    <row r="4" customFormat="false" ht="25.5" hidden="false" customHeight="true" outlineLevel="0" collapsed="false">
      <c r="A4" s="9"/>
      <c r="B4" s="10" t="s">
        <v>78</v>
      </c>
      <c r="C4" s="10" t="s">
        <v>79</v>
      </c>
      <c r="D4" s="10" t="s">
        <v>80</v>
      </c>
      <c r="E4" s="10" t="s">
        <v>81</v>
      </c>
      <c r="F4" s="10" t="s">
        <v>82</v>
      </c>
      <c r="G4" s="10" t="s">
        <v>83</v>
      </c>
      <c r="H4" s="10" t="s">
        <v>84</v>
      </c>
      <c r="I4" s="10" t="s">
        <v>85</v>
      </c>
      <c r="J4" s="10" t="s">
        <v>86</v>
      </c>
      <c r="K4" s="10" t="s">
        <v>87</v>
      </c>
      <c r="L4" s="10" t="s">
        <v>88</v>
      </c>
      <c r="M4" s="10" t="s">
        <v>89</v>
      </c>
      <c r="N4" s="10" t="s">
        <v>90</v>
      </c>
    </row>
    <row r="5" customFormat="false" ht="15" hidden="false" customHeight="false" outlineLevel="0" collapsed="false">
      <c r="A5" s="13" t="s">
        <v>91</v>
      </c>
      <c r="B5" s="22" t="n">
        <f aca="false">Assumptions!$B$10*(Assumptions!$B$46+(Assumptions!$B$47-Assumptions!$B$46)*0/11)</f>
        <v>49</v>
      </c>
      <c r="C5" s="22" t="n">
        <f aca="false">Assumptions!$B$10*(Assumptions!$B$46+(Assumptions!$B$47-Assumptions!$B$46)*1/11)</f>
        <v>52.8181818181818</v>
      </c>
      <c r="D5" s="22" t="n">
        <f aca="false">Assumptions!$B$10*(Assumptions!$B$46+(Assumptions!$B$47-Assumptions!$B$46)*2/11)</f>
        <v>56.6363636363636</v>
      </c>
      <c r="E5" s="22" t="n">
        <f aca="false">Assumptions!$B$10*(Assumptions!$B$46+(Assumptions!$B$47-Assumptions!$B$46)*3/11)</f>
        <v>60.4545454545455</v>
      </c>
      <c r="F5" s="22" t="n">
        <f aca="false">Assumptions!$B$10*(Assumptions!$B$46+(Assumptions!$B$47-Assumptions!$B$46)*4/11)</f>
        <v>64.2727272727273</v>
      </c>
      <c r="G5" s="22" t="n">
        <f aca="false">Assumptions!$B$10*(Assumptions!$B$46+(Assumptions!$B$47-Assumptions!$B$46)*5/11)</f>
        <v>68.0909090909091</v>
      </c>
      <c r="H5" s="22" t="n">
        <f aca="false">Assumptions!$B$10*(Assumptions!$B$46+(Assumptions!$B$47-Assumptions!$B$46)*6/11)</f>
        <v>71.9090909090909</v>
      </c>
      <c r="I5" s="22" t="n">
        <f aca="false">Assumptions!$B$10*(Assumptions!$B$46+(Assumptions!$B$47-Assumptions!$B$46)*7/11)</f>
        <v>75.7272727272727</v>
      </c>
      <c r="J5" s="22" t="n">
        <f aca="false">Assumptions!$B$10*(Assumptions!$B$46+(Assumptions!$B$47-Assumptions!$B$46)*8/11)</f>
        <v>79.5454545454546</v>
      </c>
      <c r="K5" s="22" t="n">
        <f aca="false">Assumptions!$B$10*(Assumptions!$B$46+(Assumptions!$B$47-Assumptions!$B$46)*9/11)</f>
        <v>83.3636363636364</v>
      </c>
      <c r="L5" s="22" t="n">
        <f aca="false">Assumptions!$B$10*(Assumptions!$B$46+(Assumptions!$B$47-Assumptions!$B$46)*10/11)</f>
        <v>87.1818181818182</v>
      </c>
      <c r="M5" s="22" t="n">
        <f aca="false">Assumptions!$B$10*(Assumptions!$B$46+(Assumptions!$B$47-Assumptions!$B$46)*11/11)</f>
        <v>91</v>
      </c>
      <c r="N5" s="23" t="n">
        <f aca="false">AVERAGE(B5:M5)</f>
        <v>70</v>
      </c>
    </row>
    <row r="6" customFormat="false" ht="15" hidden="false" customHeight="false" outlineLevel="0" collapsed="false">
      <c r="A6" s="13" t="s">
        <v>92</v>
      </c>
      <c r="B6" s="24" t="n">
        <f aca="false">B5*Assumptions!$B$13*Assumptions!$B$7/12</f>
        <v>14945</v>
      </c>
      <c r="C6" s="24" t="n">
        <f aca="false">C5*Assumptions!$B$13*Assumptions!$B$7/12</f>
        <v>16109.5454545455</v>
      </c>
      <c r="D6" s="24" t="n">
        <f aca="false">D5*Assumptions!$B$13*Assumptions!$B$7/12</f>
        <v>17274.0909090909</v>
      </c>
      <c r="E6" s="24" t="n">
        <f aca="false">E5*Assumptions!$B$13*Assumptions!$B$7/12</f>
        <v>18438.6363636364</v>
      </c>
      <c r="F6" s="24" t="n">
        <f aca="false">F5*Assumptions!$B$13*Assumptions!$B$7/12</f>
        <v>19603.1818181818</v>
      </c>
      <c r="G6" s="24" t="n">
        <f aca="false">G5*Assumptions!$B$13*Assumptions!$B$7/12</f>
        <v>20767.7272727273</v>
      </c>
      <c r="H6" s="24" t="n">
        <f aca="false">H5*Assumptions!$B$13*Assumptions!$B$7/12</f>
        <v>21932.2727272727</v>
      </c>
      <c r="I6" s="24" t="n">
        <f aca="false">I5*Assumptions!$B$13*Assumptions!$B$7/12</f>
        <v>23096.8181818182</v>
      </c>
      <c r="J6" s="24" t="n">
        <f aca="false">J5*Assumptions!$B$13*Assumptions!$B$7/12</f>
        <v>24261.3636363636</v>
      </c>
      <c r="K6" s="24" t="n">
        <f aca="false">K5*Assumptions!$B$13*Assumptions!$B$7/12</f>
        <v>25425.9090909091</v>
      </c>
      <c r="L6" s="24" t="n">
        <f aca="false">L5*Assumptions!$B$13*Assumptions!$B$7/12</f>
        <v>26590.4545454545</v>
      </c>
      <c r="M6" s="24" t="n">
        <f aca="false">M5*Assumptions!$B$13*Assumptions!$B$7/12</f>
        <v>27755</v>
      </c>
      <c r="N6" s="19" t="n">
        <f aca="false">SUM(B6:M6)</f>
        <v>256200</v>
      </c>
    </row>
    <row r="7" customFormat="false" ht="15" hidden="false" customHeight="false" outlineLevel="0" collapsed="false">
      <c r="A7" s="13" t="s">
        <v>93</v>
      </c>
      <c r="B7" s="24" t="n">
        <f aca="false">Assumptions!$B$16</f>
        <v>0</v>
      </c>
      <c r="C7" s="24" t="n">
        <f aca="false">Assumptions!$B$16</f>
        <v>0</v>
      </c>
      <c r="D7" s="24" t="n">
        <f aca="false">Assumptions!$B$16</f>
        <v>0</v>
      </c>
      <c r="E7" s="24" t="n">
        <f aca="false">Assumptions!$B$16</f>
        <v>0</v>
      </c>
      <c r="F7" s="24" t="n">
        <f aca="false">Assumptions!$B$16</f>
        <v>0</v>
      </c>
      <c r="G7" s="24" t="n">
        <f aca="false">Assumptions!$B$16</f>
        <v>0</v>
      </c>
      <c r="H7" s="24" t="n">
        <f aca="false">Assumptions!$B$16</f>
        <v>0</v>
      </c>
      <c r="I7" s="24" t="n">
        <f aca="false">Assumptions!$B$16</f>
        <v>0</v>
      </c>
      <c r="J7" s="24" t="n">
        <f aca="false">Assumptions!$B$16</f>
        <v>0</v>
      </c>
      <c r="K7" s="24" t="n">
        <f aca="false">Assumptions!$B$16</f>
        <v>0</v>
      </c>
      <c r="L7" s="24" t="n">
        <f aca="false">Assumptions!$B$16</f>
        <v>0</v>
      </c>
      <c r="M7" s="24" t="n">
        <f aca="false">Assumptions!$B$16</f>
        <v>0</v>
      </c>
      <c r="N7" s="19" t="n">
        <f aca="false">SUM(B7:M7)</f>
        <v>0</v>
      </c>
    </row>
    <row r="8" customFormat="false" ht="15" hidden="false" customHeight="false" outlineLevel="0" collapsed="false">
      <c r="A8" s="25" t="s">
        <v>94</v>
      </c>
      <c r="B8" s="26" t="n">
        <f aca="false">B6+B7</f>
        <v>14945</v>
      </c>
      <c r="C8" s="26" t="n">
        <f aca="false">C6+C7</f>
        <v>16109.5454545455</v>
      </c>
      <c r="D8" s="26" t="n">
        <f aca="false">D6+D7</f>
        <v>17274.0909090909</v>
      </c>
      <c r="E8" s="26" t="n">
        <f aca="false">E6+E7</f>
        <v>18438.6363636364</v>
      </c>
      <c r="F8" s="26" t="n">
        <f aca="false">F6+F7</f>
        <v>19603.1818181818</v>
      </c>
      <c r="G8" s="26" t="n">
        <f aca="false">G6+G7</f>
        <v>20767.7272727273</v>
      </c>
      <c r="H8" s="26" t="n">
        <f aca="false">H6+H7</f>
        <v>21932.2727272727</v>
      </c>
      <c r="I8" s="26" t="n">
        <f aca="false">I6+I7</f>
        <v>23096.8181818182</v>
      </c>
      <c r="J8" s="26" t="n">
        <f aca="false">J6+J7</f>
        <v>24261.3636363636</v>
      </c>
      <c r="K8" s="26" t="n">
        <f aca="false">K6+K7</f>
        <v>25425.9090909091</v>
      </c>
      <c r="L8" s="26" t="n">
        <f aca="false">L6+L7</f>
        <v>26590.4545454545</v>
      </c>
      <c r="M8" s="26" t="n">
        <f aca="false">M6+M7</f>
        <v>27755</v>
      </c>
      <c r="N8" s="19" t="n">
        <f aca="false">SUM(B8:M8)</f>
        <v>256200</v>
      </c>
    </row>
    <row r="9" customFormat="false" ht="15" hidden="false" customHeight="false" outlineLevel="0" collapsed="false">
      <c r="A9" s="13" t="s">
        <v>95</v>
      </c>
      <c r="B9" s="24" t="n">
        <f aca="false">B8*Assumptions!$B$19</f>
        <v>4483.5</v>
      </c>
      <c r="C9" s="24" t="n">
        <f aca="false">C8*Assumptions!$B$19</f>
        <v>4832.86363636364</v>
      </c>
      <c r="D9" s="24" t="n">
        <f aca="false">D8*Assumptions!$B$19</f>
        <v>5182.22727272727</v>
      </c>
      <c r="E9" s="24" t="n">
        <f aca="false">E8*Assumptions!$B$19</f>
        <v>5531.59090909091</v>
      </c>
      <c r="F9" s="24" t="n">
        <f aca="false">F8*Assumptions!$B$19</f>
        <v>5880.95454545455</v>
      </c>
      <c r="G9" s="24" t="n">
        <f aca="false">G8*Assumptions!$B$19</f>
        <v>6230.31818181818</v>
      </c>
      <c r="H9" s="24" t="n">
        <f aca="false">H8*Assumptions!$B$19</f>
        <v>6579.68181818182</v>
      </c>
      <c r="I9" s="24" t="n">
        <f aca="false">I8*Assumptions!$B$19</f>
        <v>6929.04545454545</v>
      </c>
      <c r="J9" s="24" t="n">
        <f aca="false">J8*Assumptions!$B$19</f>
        <v>7278.40909090909</v>
      </c>
      <c r="K9" s="24" t="n">
        <f aca="false">K8*Assumptions!$B$19</f>
        <v>7627.77272727273</v>
      </c>
      <c r="L9" s="24" t="n">
        <f aca="false">L8*Assumptions!$B$19</f>
        <v>7977.13636363636</v>
      </c>
      <c r="M9" s="24" t="n">
        <f aca="false">M8*Assumptions!$B$19</f>
        <v>8326.5</v>
      </c>
      <c r="N9" s="19" t="n">
        <f aca="false">SUM(B9:M9)</f>
        <v>76860</v>
      </c>
    </row>
    <row r="10" customFormat="false" ht="15" hidden="false" customHeight="false" outlineLevel="0" collapsed="false">
      <c r="A10" s="13" t="s">
        <v>96</v>
      </c>
      <c r="B10" s="24" t="n">
        <f aca="false">B8*(Assumptions!$B$20+Assumptions!$B$21)</f>
        <v>732.305</v>
      </c>
      <c r="C10" s="24" t="n">
        <f aca="false">C8*(Assumptions!$B$20+Assumptions!$B$21)</f>
        <v>789.367727272727</v>
      </c>
      <c r="D10" s="24" t="n">
        <f aca="false">D8*(Assumptions!$B$20+Assumptions!$B$21)</f>
        <v>846.430454545455</v>
      </c>
      <c r="E10" s="24" t="n">
        <f aca="false">E8*(Assumptions!$B$20+Assumptions!$B$21)</f>
        <v>903.493181818182</v>
      </c>
      <c r="F10" s="24" t="n">
        <f aca="false">F8*(Assumptions!$B$20+Assumptions!$B$21)</f>
        <v>960.555909090909</v>
      </c>
      <c r="G10" s="24" t="n">
        <f aca="false">G8*(Assumptions!$B$20+Assumptions!$B$21)</f>
        <v>1017.61863636364</v>
      </c>
      <c r="H10" s="24" t="n">
        <f aca="false">H8*(Assumptions!$B$20+Assumptions!$B$21)</f>
        <v>1074.68136363636</v>
      </c>
      <c r="I10" s="24" t="n">
        <f aca="false">I8*(Assumptions!$B$20+Assumptions!$B$21)</f>
        <v>1131.74409090909</v>
      </c>
      <c r="J10" s="24" t="n">
        <f aca="false">J8*(Assumptions!$B$20+Assumptions!$B$21)</f>
        <v>1188.80681818182</v>
      </c>
      <c r="K10" s="24" t="n">
        <f aca="false">K8*(Assumptions!$B$20+Assumptions!$B$21)</f>
        <v>1245.86954545455</v>
      </c>
      <c r="L10" s="24" t="n">
        <f aca="false">L8*(Assumptions!$B$20+Assumptions!$B$21)</f>
        <v>1302.93227272727</v>
      </c>
      <c r="M10" s="24" t="n">
        <f aca="false">M8*(Assumptions!$B$20+Assumptions!$B$21)</f>
        <v>1359.995</v>
      </c>
      <c r="N10" s="19" t="n">
        <f aca="false">SUM(B10:M10)</f>
        <v>12553.8</v>
      </c>
    </row>
    <row r="11" customFormat="false" ht="15" hidden="false" customHeight="false" outlineLevel="0" collapsed="false">
      <c r="A11" s="13" t="s">
        <v>97</v>
      </c>
      <c r="B11" s="24" t="n">
        <f aca="false">(Assumptions!$B$24+Assumptions!$B$25)*(1+Assumptions!$B$26)/12</f>
        <v>6937.5</v>
      </c>
      <c r="C11" s="24" t="n">
        <f aca="false">(Assumptions!$B$24+Assumptions!$B$25)*(1+Assumptions!$B$26)/12</f>
        <v>6937.5</v>
      </c>
      <c r="D11" s="24" t="n">
        <f aca="false">(Assumptions!$B$24+Assumptions!$B$25)*(1+Assumptions!$B$26)/12</f>
        <v>6937.5</v>
      </c>
      <c r="E11" s="24" t="n">
        <f aca="false">(Assumptions!$B$24+Assumptions!$B$25)*(1+Assumptions!$B$26)/12</f>
        <v>6937.5</v>
      </c>
      <c r="F11" s="24" t="n">
        <f aca="false">(Assumptions!$B$24+Assumptions!$B$25)*(1+Assumptions!$B$26)/12</f>
        <v>6937.5</v>
      </c>
      <c r="G11" s="24" t="n">
        <f aca="false">(Assumptions!$B$24+Assumptions!$B$25)*(1+Assumptions!$B$26)/12</f>
        <v>6937.5</v>
      </c>
      <c r="H11" s="24" t="n">
        <f aca="false">(Assumptions!$B$24+Assumptions!$B$25)*(1+Assumptions!$B$26)/12</f>
        <v>6937.5</v>
      </c>
      <c r="I11" s="24" t="n">
        <f aca="false">(Assumptions!$B$24+Assumptions!$B$25)*(1+Assumptions!$B$26)/12</f>
        <v>6937.5</v>
      </c>
      <c r="J11" s="24" t="n">
        <f aca="false">(Assumptions!$B$24+Assumptions!$B$25)*(1+Assumptions!$B$26)/12</f>
        <v>6937.5</v>
      </c>
      <c r="K11" s="24" t="n">
        <f aca="false">(Assumptions!$B$24+Assumptions!$B$25)*(1+Assumptions!$B$26)/12</f>
        <v>6937.5</v>
      </c>
      <c r="L11" s="24" t="n">
        <f aca="false">(Assumptions!$B$24+Assumptions!$B$25)*(1+Assumptions!$B$26)/12</f>
        <v>6937.5</v>
      </c>
      <c r="M11" s="24" t="n">
        <f aca="false">(Assumptions!$B$24+Assumptions!$B$25)*(1+Assumptions!$B$26)/12</f>
        <v>6937.5</v>
      </c>
      <c r="N11" s="19" t="n">
        <f aca="false">SUM(B11:M11)</f>
        <v>83250</v>
      </c>
    </row>
    <row r="12" customFormat="false" ht="15" hidden="false" customHeight="false" outlineLevel="0" collapsed="false">
      <c r="A12" s="13" t="s">
        <v>98</v>
      </c>
      <c r="B12" s="24" t="n">
        <f aca="false">Assumptions!$B$35/12</f>
        <v>3900</v>
      </c>
      <c r="C12" s="24" t="n">
        <f aca="false">Assumptions!$B$35/12</f>
        <v>3900</v>
      </c>
      <c r="D12" s="24" t="n">
        <f aca="false">Assumptions!$B$35/12</f>
        <v>3900</v>
      </c>
      <c r="E12" s="24" t="n">
        <f aca="false">Assumptions!$B$35/12</f>
        <v>3900</v>
      </c>
      <c r="F12" s="24" t="n">
        <f aca="false">Assumptions!$B$35/12</f>
        <v>3900</v>
      </c>
      <c r="G12" s="24" t="n">
        <f aca="false">Assumptions!$B$35/12</f>
        <v>3900</v>
      </c>
      <c r="H12" s="24" t="n">
        <f aca="false">Assumptions!$B$35/12</f>
        <v>3900</v>
      </c>
      <c r="I12" s="24" t="n">
        <f aca="false">Assumptions!$B$35/12</f>
        <v>3900</v>
      </c>
      <c r="J12" s="24" t="n">
        <f aca="false">Assumptions!$B$35/12</f>
        <v>3900</v>
      </c>
      <c r="K12" s="24" t="n">
        <f aca="false">Assumptions!$B$35/12</f>
        <v>3900</v>
      </c>
      <c r="L12" s="24" t="n">
        <f aca="false">Assumptions!$B$35/12</f>
        <v>3900</v>
      </c>
      <c r="M12" s="24" t="n">
        <f aca="false">Assumptions!$B$35/12</f>
        <v>3900</v>
      </c>
      <c r="N12" s="19" t="n">
        <f aca="false">SUM(B12:M12)</f>
        <v>46800</v>
      </c>
    </row>
    <row r="13" customFormat="false" ht="15" hidden="false" customHeight="false" outlineLevel="0" collapsed="false">
      <c r="A13" s="13" t="s">
        <v>99</v>
      </c>
      <c r="B13" s="24" t="n">
        <f aca="false">Assumptions!$B$41</f>
        <v>804.453913001928</v>
      </c>
      <c r="C13" s="24" t="n">
        <f aca="false">Assumptions!$B$41</f>
        <v>804.453913001928</v>
      </c>
      <c r="D13" s="24" t="n">
        <f aca="false">Assumptions!$B$41</f>
        <v>804.453913001928</v>
      </c>
      <c r="E13" s="24" t="n">
        <f aca="false">Assumptions!$B$41</f>
        <v>804.453913001928</v>
      </c>
      <c r="F13" s="24" t="n">
        <f aca="false">Assumptions!$B$41</f>
        <v>804.453913001928</v>
      </c>
      <c r="G13" s="24" t="n">
        <f aca="false">Assumptions!$B$41</f>
        <v>804.453913001928</v>
      </c>
      <c r="H13" s="24" t="n">
        <f aca="false">Assumptions!$B$41</f>
        <v>804.453913001928</v>
      </c>
      <c r="I13" s="24" t="n">
        <f aca="false">Assumptions!$B$41</f>
        <v>804.453913001928</v>
      </c>
      <c r="J13" s="24" t="n">
        <f aca="false">Assumptions!$B$41</f>
        <v>804.453913001928</v>
      </c>
      <c r="K13" s="24" t="n">
        <f aca="false">Assumptions!$B$41</f>
        <v>804.453913001928</v>
      </c>
      <c r="L13" s="24" t="n">
        <f aca="false">Assumptions!$B$41</f>
        <v>804.453913001928</v>
      </c>
      <c r="M13" s="24" t="n">
        <f aca="false">Assumptions!$B$41</f>
        <v>804.453913001928</v>
      </c>
      <c r="N13" s="19" t="n">
        <f aca="false">SUM(B13:M13)</f>
        <v>9653.44695602313</v>
      </c>
    </row>
    <row r="14" customFormat="false" ht="15" hidden="false" customHeight="false" outlineLevel="0" collapsed="false">
      <c r="A14" s="25" t="s">
        <v>100</v>
      </c>
      <c r="B14" s="26" t="n">
        <f aca="false">B8-B9-B10-B11-B12-B13</f>
        <v>-1912.75891300193</v>
      </c>
      <c r="C14" s="26" t="n">
        <f aca="false">C8-C9-C10-C11-C12-C13</f>
        <v>-1154.63982209284</v>
      </c>
      <c r="D14" s="26" t="n">
        <f aca="false">D8-D9-D10-D11-D12-D13</f>
        <v>-396.520731183747</v>
      </c>
      <c r="E14" s="26" t="n">
        <f aca="false">E8-E9-E10-E11-E12-E13</f>
        <v>361.598359725346</v>
      </c>
      <c r="F14" s="26" t="n">
        <f aca="false">F8-F9-F10-F11-F12-F13</f>
        <v>1119.71745063444</v>
      </c>
      <c r="G14" s="26" t="n">
        <f aca="false">G8-G9-G10-G11-G12-G13</f>
        <v>1877.83654154353</v>
      </c>
      <c r="H14" s="26" t="n">
        <f aca="false">H8-H9-H10-H11-H12-H13</f>
        <v>2635.95563245262</v>
      </c>
      <c r="I14" s="26" t="n">
        <f aca="false">I8-I9-I10-I11-I12-I13</f>
        <v>3394.07472336171</v>
      </c>
      <c r="J14" s="26" t="n">
        <f aca="false">J8-J9-J10-J11-J12-J13</f>
        <v>4152.1938142708</v>
      </c>
      <c r="K14" s="26" t="n">
        <f aca="false">K8-K9-K10-K11-K12-K13</f>
        <v>4910.31290517989</v>
      </c>
      <c r="L14" s="26" t="n">
        <f aca="false">L8-L9-L10-L11-L12-L13</f>
        <v>5668.43199608898</v>
      </c>
      <c r="M14" s="26" t="n">
        <f aca="false">M8-M9-M10-M11-M12-M13</f>
        <v>6426.55108699807</v>
      </c>
      <c r="N14" s="19" t="n">
        <f aca="false">SUM(B14:M14)</f>
        <v>27082.7530439769</v>
      </c>
    </row>
    <row r="15" customFormat="false" ht="15" hidden="false" customHeight="false" outlineLevel="0" collapsed="false">
      <c r="A15" s="5" t="s">
        <v>101</v>
      </c>
      <c r="B15" s="19" t="n">
        <f aca="false">Assumptions!$B$42+B14</f>
        <v>18087.2410869981</v>
      </c>
      <c r="C15" s="19" t="n">
        <f aca="false">B15+C14</f>
        <v>16932.6012649052</v>
      </c>
      <c r="D15" s="19" t="n">
        <f aca="false">C15+D14</f>
        <v>16536.0805337215</v>
      </c>
      <c r="E15" s="19" t="n">
        <f aca="false">D15+E14</f>
        <v>16897.6788934468</v>
      </c>
      <c r="F15" s="19" t="n">
        <f aca="false">E15+F14</f>
        <v>18017.3963440813</v>
      </c>
      <c r="G15" s="19" t="n">
        <f aca="false">F15+G14</f>
        <v>19895.2328856248</v>
      </c>
      <c r="H15" s="19" t="n">
        <f aca="false">G15+H14</f>
        <v>22531.1885180774</v>
      </c>
      <c r="I15" s="19" t="n">
        <f aca="false">H15+I14</f>
        <v>25925.2632414391</v>
      </c>
      <c r="J15" s="19" t="n">
        <f aca="false">I15+J14</f>
        <v>30077.4570557099</v>
      </c>
      <c r="K15" s="19" t="n">
        <f aca="false">J15+K14</f>
        <v>34987.7699608898</v>
      </c>
      <c r="L15" s="19" t="n">
        <f aca="false">K15+L14</f>
        <v>40656.2019569788</v>
      </c>
      <c r="M15" s="19" t="n">
        <f aca="false">L15+M14</f>
        <v>47082.7530439769</v>
      </c>
    </row>
    <row r="17" customFormat="false" ht="27.75" hidden="false" customHeight="true" outlineLevel="0" collapsed="false">
      <c r="A17" s="5" t="s">
        <v>102</v>
      </c>
      <c r="B17" s="27" t="n">
        <f aca="false">MIN(B15:M15)</f>
        <v>16536.0805337215</v>
      </c>
      <c r="D17" s="21" t="s">
        <v>103</v>
      </c>
      <c r="E17" s="21"/>
      <c r="F17" s="21"/>
      <c r="G17" s="21"/>
      <c r="H17" s="21"/>
      <c r="I17" s="21"/>
      <c r="J17" s="21"/>
      <c r="K17" s="21"/>
      <c r="L17" s="21"/>
      <c r="M17" s="21"/>
    </row>
    <row r="19" customFormat="false" ht="15" hidden="false" customHeight="false" outlineLevel="0" collapsed="false">
      <c r="A19" s="5" t="s">
        <v>18</v>
      </c>
    </row>
    <row r="20" customFormat="false" ht="15" hidden="false" customHeight="false" outlineLevel="0" collapsed="false">
      <c r="A20" s="6" t="s">
        <v>19</v>
      </c>
      <c r="B20" s="7" t="s">
        <v>20</v>
      </c>
    </row>
    <row r="21" customFormat="false" ht="15" hidden="false" customHeight="false" outlineLevel="0" collapsed="false">
      <c r="A21" s="8" t="s">
        <v>21</v>
      </c>
      <c r="B21" s="7" t="s">
        <v>22</v>
      </c>
    </row>
    <row r="22" customFormat="false" ht="15" hidden="false" customHeight="false" outlineLevel="0" collapsed="false">
      <c r="A22" s="8" t="s">
        <v>23</v>
      </c>
      <c r="B22" s="7" t="s">
        <v>24</v>
      </c>
    </row>
  </sheetData>
  <mergeCells count="1">
    <mergeCell ref="D17:M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A39"/>
    <pageSetUpPr fitToPage="false"/>
  </sheetPr>
  <dimension ref="A1:E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6"/>
    <col collapsed="false" customWidth="true" hidden="false" outlineLevel="0" max="5" min="5" style="0" width="34"/>
  </cols>
  <sheetData>
    <row r="1" customFormat="false" ht="21.75" hidden="false" customHeight="true" outlineLevel="0" collapsed="false">
      <c r="A1" s="1" t="s">
        <v>104</v>
      </c>
    </row>
    <row r="2" customFormat="false" ht="15" hidden="false" customHeight="false" outlineLevel="0" collapsed="false">
      <c r="A2" s="2" t="s">
        <v>105</v>
      </c>
    </row>
    <row r="4" customFormat="false" ht="25.5" hidden="false" customHeight="true" outlineLevel="0" collapsed="false">
      <c r="A4" s="9"/>
      <c r="B4" s="10" t="s">
        <v>106</v>
      </c>
      <c r="C4" s="10" t="s">
        <v>107</v>
      </c>
      <c r="D4" s="10" t="s">
        <v>108</v>
      </c>
      <c r="E4" s="10" t="s">
        <v>28</v>
      </c>
    </row>
    <row r="5" customFormat="false" ht="15" hidden="false" customHeight="false" outlineLevel="0" collapsed="false">
      <c r="A5" s="25" t="s">
        <v>109</v>
      </c>
      <c r="B5" s="26" t="n">
        <f aca="false">Assumptions!$B$10*Assumptions!$B$13*Assumptions!$B$7+Assumptions!$B$16*12</f>
        <v>256200</v>
      </c>
      <c r="C5" s="26" t="n">
        <f aca="false">Assumptions!$B$11*Assumptions!$B$14*Assumptions!$B$7+Assumptions!$B$16*12</f>
        <v>305000</v>
      </c>
      <c r="D5" s="26" t="n">
        <f aca="false">Assumptions!$B$12*Assumptions!$B$15*Assumptions!$B$7+Assumptions!$B$16*12</f>
        <v>340990</v>
      </c>
    </row>
    <row r="6" customFormat="false" ht="15" hidden="false" customHeight="false" outlineLevel="0" collapsed="false">
      <c r="A6" s="13" t="s">
        <v>95</v>
      </c>
      <c r="B6" s="24" t="n">
        <f aca="false">B5*Assumptions!$B$19</f>
        <v>76860</v>
      </c>
      <c r="C6" s="24" t="n">
        <f aca="false">C5*Assumptions!$B$19</f>
        <v>91500</v>
      </c>
      <c r="D6" s="24" t="n">
        <f aca="false">D5*Assumptions!$B$19</f>
        <v>102297</v>
      </c>
    </row>
    <row r="7" customFormat="false" ht="15" hidden="false" customHeight="false" outlineLevel="0" collapsed="false">
      <c r="A7" s="5" t="s">
        <v>110</v>
      </c>
      <c r="B7" s="27" t="n">
        <f aca="false">B5-B6</f>
        <v>179340</v>
      </c>
      <c r="C7" s="27" t="n">
        <f aca="false">C5-C6</f>
        <v>213500</v>
      </c>
      <c r="D7" s="27" t="n">
        <f aca="false">D5-D6</f>
        <v>238693</v>
      </c>
    </row>
    <row r="8" customFormat="false" ht="15" hidden="false" customHeight="false" outlineLevel="0" collapsed="false">
      <c r="A8" s="13" t="s">
        <v>96</v>
      </c>
      <c r="B8" s="24" t="n">
        <f aca="false">B5*(Assumptions!$B$20+Assumptions!$B$21)</f>
        <v>12553.8</v>
      </c>
      <c r="C8" s="24" t="n">
        <f aca="false">C5*(Assumptions!$B$20+Assumptions!$B$21)</f>
        <v>14945</v>
      </c>
      <c r="D8" s="24" t="n">
        <f aca="false">D5*(Assumptions!$B$20+Assumptions!$B$21)</f>
        <v>16708.51</v>
      </c>
    </row>
    <row r="9" customFormat="false" ht="22.35" hidden="false" customHeight="false" outlineLevel="0" collapsed="false">
      <c r="A9" s="13" t="s">
        <v>97</v>
      </c>
      <c r="B9" s="24" t="n">
        <f aca="false">(Assumptions!$B$24+Assumptions!$B$25)*(1+Assumptions!$B$26)</f>
        <v>83250</v>
      </c>
      <c r="C9" s="24" t="n">
        <f aca="false">(Assumptions!$B$24+Assumptions!$B$25)*(1+Assumptions!$B$26)</f>
        <v>83250</v>
      </c>
      <c r="D9" s="24" t="n">
        <f aca="false">(Assumptions!$B$24+Assumptions!$B$25)*(1+Assumptions!$B$26)</f>
        <v>83250</v>
      </c>
      <c r="E9" s="28" t="s">
        <v>111</v>
      </c>
    </row>
    <row r="10" customFormat="false" ht="15" hidden="false" customHeight="false" outlineLevel="0" collapsed="false">
      <c r="A10" s="13" t="s">
        <v>98</v>
      </c>
      <c r="B10" s="24" t="n">
        <f aca="false">Assumptions!$B$35</f>
        <v>46800</v>
      </c>
      <c r="C10" s="24" t="n">
        <f aca="false">Assumptions!$B$35</f>
        <v>46800</v>
      </c>
      <c r="D10" s="24" t="n">
        <f aca="false">Assumptions!$B$35</f>
        <v>46800</v>
      </c>
    </row>
    <row r="11" customFormat="false" ht="22.35" hidden="false" customHeight="false" outlineLevel="0" collapsed="false">
      <c r="A11" s="13" t="s">
        <v>112</v>
      </c>
      <c r="B11" s="24" t="n">
        <f aca="false">Assumptions!$B$43</f>
        <v>5000</v>
      </c>
      <c r="C11" s="24" t="n">
        <f aca="false">Assumptions!$B$43</f>
        <v>5000</v>
      </c>
      <c r="D11" s="24" t="n">
        <f aca="false">Assumptions!$B$43</f>
        <v>5000</v>
      </c>
      <c r="E11" s="28" t="s">
        <v>113</v>
      </c>
    </row>
    <row r="12" customFormat="false" ht="22.35" hidden="false" customHeight="false" outlineLevel="0" collapsed="false">
      <c r="A12" s="13" t="s">
        <v>114</v>
      </c>
      <c r="B12" s="24" t="n">
        <f aca="false">IF(Assumptions!$B$38=0,0,Assumptions!$B$38*Assumptions!$B$39*MAX(0,(Assumptions!$B$40-0)/Assumptions!$B$40))</f>
        <v>4500</v>
      </c>
      <c r="C12" s="24" t="n">
        <f aca="false">IF(Assumptions!$B$38=0,0,Assumptions!$B$38*Assumptions!$B$39*MAX(0,(Assumptions!$B$40-1)/Assumptions!$B$40))</f>
        <v>3857.14285714286</v>
      </c>
      <c r="D12" s="24" t="n">
        <f aca="false">IF(Assumptions!$B$38=0,0,Assumptions!$B$38*Assumptions!$B$39*MAX(0,(Assumptions!$B$40-2)/Assumptions!$B$40))</f>
        <v>3214.28571428571</v>
      </c>
      <c r="E12" s="28" t="s">
        <v>115</v>
      </c>
    </row>
    <row r="13" customFormat="false" ht="15" hidden="false" customHeight="false" outlineLevel="0" collapsed="false">
      <c r="A13" s="25" t="s">
        <v>116</v>
      </c>
      <c r="B13" s="26" t="n">
        <f aca="false">B7-B8-B9-B10-B11-B12</f>
        <v>27236.2</v>
      </c>
      <c r="C13" s="26" t="n">
        <f aca="false">C7-C8-C9-C10-C11-C12</f>
        <v>59647.8571428571</v>
      </c>
      <c r="D13" s="26" t="n">
        <f aca="false">D7-D8-D9-D10-D11-D12</f>
        <v>83720.2042857143</v>
      </c>
    </row>
    <row r="14" customFormat="false" ht="22.35" hidden="false" customHeight="false" outlineLevel="0" collapsed="false">
      <c r="A14" s="5" t="s">
        <v>117</v>
      </c>
      <c r="B14" s="29" t="n">
        <f aca="false">IF(B5=0,0,B13/B5)</f>
        <v>0.106308352849336</v>
      </c>
      <c r="C14" s="29" t="n">
        <f aca="false">IF(C5=0,0,C13/C5)</f>
        <v>0.195566744730679</v>
      </c>
      <c r="D14" s="29" t="n">
        <f aca="false">IF(D5=0,0,D13/D5)</f>
        <v>0.245520995588476</v>
      </c>
      <c r="E14" s="28" t="s">
        <v>118</v>
      </c>
    </row>
    <row r="16" customFormat="false" ht="15" hidden="false" customHeight="false" outlineLevel="0" collapsed="false">
      <c r="A16" s="13" t="s">
        <v>46</v>
      </c>
      <c r="B16" s="30" t="n">
        <f aca="false">IF(B5=0,0,B6/B5)</f>
        <v>0.3</v>
      </c>
      <c r="C16" s="30" t="n">
        <f aca="false">IF(C5=0,0,C6/C5)</f>
        <v>0.3</v>
      </c>
      <c r="D16" s="30" t="n">
        <f aca="false">IF(D5=0,0,D6/D5)</f>
        <v>0.3</v>
      </c>
    </row>
    <row r="17" customFormat="false" ht="22.35" hidden="false" customHeight="false" outlineLevel="0" collapsed="false">
      <c r="A17" s="13" t="s">
        <v>119</v>
      </c>
      <c r="B17" s="30" t="n">
        <f aca="false">IF(B5=0,0,B9/B5)</f>
        <v>0.324941451990632</v>
      </c>
      <c r="C17" s="30" t="n">
        <f aca="false">IF(C5=0,0,C9/C5)</f>
        <v>0.272950819672131</v>
      </c>
      <c r="D17" s="30" t="n">
        <f aca="false">IF(D5=0,0,D9/D5)</f>
        <v>0.244142056951817</v>
      </c>
      <c r="E17" s="28" t="s">
        <v>120</v>
      </c>
    </row>
    <row r="18" customFormat="false" ht="22.35" hidden="false" customHeight="false" outlineLevel="0" collapsed="false">
      <c r="A18" s="13" t="s">
        <v>121</v>
      </c>
      <c r="B18" s="30" t="n">
        <f aca="false">IF(B5=0,0,Assumptions!$B$29*12/B5)</f>
        <v>0.0936768149882904</v>
      </c>
      <c r="C18" s="30" t="n">
        <f aca="false">IF(C5=0,0,Assumptions!$B$29*12/C5)</f>
        <v>0.0786885245901639</v>
      </c>
      <c r="D18" s="30" t="n">
        <f aca="false">IF(D5=0,0,Assumptions!$B$29*12/D5)</f>
        <v>0.0703832956978211</v>
      </c>
      <c r="E18" s="28" t="s">
        <v>122</v>
      </c>
    </row>
    <row r="20" customFormat="false" ht="15" hidden="false" customHeight="false" outlineLevel="0" collapsed="false">
      <c r="A20" s="5" t="s">
        <v>18</v>
      </c>
    </row>
    <row r="21" customFormat="false" ht="15" hidden="false" customHeight="false" outlineLevel="0" collapsed="false">
      <c r="A21" s="6" t="s">
        <v>19</v>
      </c>
      <c r="B21" s="7" t="s">
        <v>20</v>
      </c>
    </row>
    <row r="22" customFormat="false" ht="15" hidden="false" customHeight="false" outlineLevel="0" collapsed="false">
      <c r="A22" s="8" t="s">
        <v>21</v>
      </c>
      <c r="B22" s="7" t="s">
        <v>22</v>
      </c>
    </row>
    <row r="23" customFormat="false" ht="15" hidden="false" customHeight="false" outlineLevel="0" collapsed="false">
      <c r="A23" s="8" t="s">
        <v>23</v>
      </c>
      <c r="B23" s="7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2A39"/>
    <pageSetUpPr fitToPage="false"/>
  </sheetPr>
  <dimension ref="A1:C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8"/>
    <col collapsed="false" customWidth="true" hidden="false" outlineLevel="0" max="3" min="3" style="0" width="50"/>
  </cols>
  <sheetData>
    <row r="1" customFormat="false" ht="21.75" hidden="false" customHeight="true" outlineLevel="0" collapsed="false">
      <c r="A1" s="1" t="s">
        <v>123</v>
      </c>
    </row>
    <row r="2" customFormat="false" ht="15" hidden="false" customHeight="false" outlineLevel="0" collapsed="false">
      <c r="A2" s="2" t="s">
        <v>124</v>
      </c>
    </row>
    <row r="4" customFormat="false" ht="25.5" hidden="false" customHeight="true" outlineLevel="0" collapsed="false">
      <c r="A4" s="9"/>
      <c r="B4" s="10" t="s">
        <v>27</v>
      </c>
      <c r="C4" s="10" t="s">
        <v>125</v>
      </c>
    </row>
    <row r="5" customFormat="false" ht="15" hidden="false" customHeight="false" outlineLevel="0" collapsed="false">
      <c r="A5" s="13" t="s">
        <v>126</v>
      </c>
      <c r="B5" s="30" t="n">
        <f aca="false">1-Assumptions!$B$19-Assumptions!$B$20-Assumptions!$B$21</f>
        <v>0.651</v>
      </c>
      <c r="C5" s="28" t="s">
        <v>127</v>
      </c>
    </row>
    <row r="6" customFormat="false" ht="15" hidden="false" customHeight="false" outlineLevel="0" collapsed="false">
      <c r="A6" s="13" t="s">
        <v>128</v>
      </c>
      <c r="B6" s="24" t="n">
        <f aca="false">(Assumptions!$B$24+Assumptions!$B$25)*(1+Assumptions!$B$26)+Assumptions!$B$35+Assumptions!$B$43+Assumptions!$B$41*12</f>
        <v>144703.446956023</v>
      </c>
      <c r="C6" s="28" t="s">
        <v>129</v>
      </c>
    </row>
    <row r="7" customFormat="false" ht="15" hidden="false" customHeight="false" outlineLevel="0" collapsed="false">
      <c r="A7" s="5" t="s">
        <v>130</v>
      </c>
      <c r="B7" s="19" t="n">
        <f aca="false">IF(B5&lt;=0,0,B6/B5)</f>
        <v>222278.720362555</v>
      </c>
    </row>
    <row r="8" customFormat="false" ht="15" hidden="false" customHeight="false" outlineLevel="0" collapsed="false">
      <c r="A8" s="5" t="s">
        <v>131</v>
      </c>
      <c r="B8" s="23" t="n">
        <f aca="false">IF(OR(Assumptions!$B$13=0,Assumptions!$B$7=0),0,(B7-Assumptions!$B$16*12)/Assumptions!$B$13/Assumptions!$B$7)</f>
        <v>60.7318908094412</v>
      </c>
    </row>
    <row r="10" customFormat="false" ht="15" hidden="false" customHeight="false" outlineLevel="0" collapsed="false">
      <c r="A10" s="5" t="s">
        <v>132</v>
      </c>
      <c r="B10" s="31" t="n">
        <f aca="false">Assumptions!$B$10</f>
        <v>70</v>
      </c>
      <c r="C10" s="7" t="s">
        <v>133</v>
      </c>
    </row>
    <row r="11" customFormat="false" ht="27.75" hidden="false" customHeight="true" outlineLevel="0" collapsed="false">
      <c r="A11" s="5" t="s">
        <v>134</v>
      </c>
      <c r="B11" s="29" t="n">
        <f aca="false">IF(B8=0,0,(Assumptions!$B$10-B8)/B8)</f>
        <v>0.152606959326187</v>
      </c>
      <c r="C11" s="28" t="s">
        <v>135</v>
      </c>
    </row>
    <row r="13" customFormat="false" ht="15" hidden="false" customHeight="false" outlineLevel="0" collapsed="false">
      <c r="A13" s="5" t="s">
        <v>136</v>
      </c>
    </row>
    <row r="14" customFormat="false" ht="25.5" hidden="false" customHeight="true" outlineLevel="0" collapsed="false">
      <c r="A14" s="21" t="s">
        <v>137</v>
      </c>
      <c r="B14" s="21"/>
      <c r="C14" s="21"/>
    </row>
    <row r="15" customFormat="false" ht="25.5" hidden="false" customHeight="true" outlineLevel="0" collapsed="false">
      <c r="A15" s="21" t="s">
        <v>138</v>
      </c>
      <c r="B15" s="21"/>
      <c r="C15" s="21"/>
    </row>
    <row r="16" customFormat="false" ht="25.5" hidden="false" customHeight="true" outlineLevel="0" collapsed="false">
      <c r="A16" s="21" t="s">
        <v>139</v>
      </c>
      <c r="B16" s="21"/>
      <c r="C16" s="21"/>
    </row>
  </sheetData>
  <mergeCells count="3">
    <mergeCell ref="A14:C14"/>
    <mergeCell ref="A15:C15"/>
    <mergeCell ref="A16:C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2026-08-31T00:00:03Z</dcterms:created>
  <dc:creator>openpyxl</dc:creator>
  <dc:description/>
  <dc:language>en-US</dc:language>
  <cp:lastModifiedBy/>
  <dcterms:modified xsi:type="dcterms:W3CDTF">2026-08-31T00:00:03Z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